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 tabRatio="905"/>
  </bookViews>
  <sheets>
    <sheet name="Viab. Ambiental" sheetId="3" r:id="rId1"/>
    <sheet name="Viab. Social" sheetId="8" r:id="rId2"/>
    <sheet name="Custos e despesas" sheetId="10" r:id="rId3"/>
    <sheet name="Formação de Preços 1" sheetId="11" r:id="rId4"/>
    <sheet name="Formação de Preços 2" sheetId="12" r:id="rId5"/>
    <sheet name="Investimento e Atividades" sheetId="9" r:id="rId6"/>
    <sheet name="Ex. Custos e despesas" sheetId="1" r:id="rId7"/>
    <sheet name="Ex. Form. Preços 1" sheetId="2" r:id="rId8"/>
    <sheet name="Ex. Form. Preços 2" sheetId="4" r:id="rId9"/>
    <sheet name="Plan1" sheetId="13" r:id="rId10"/>
  </sheets>
  <externalReferences>
    <externalReference r:id="rId11"/>
  </externalReferences>
  <definedNames>
    <definedName name="_xlnm.Print_Area" localSheetId="2">'Custos e despesas'!$B$1:$F$33</definedName>
    <definedName name="_xlnm.Print_Area" localSheetId="6">'Ex. Custos e despesas'!$B$1:$F$34</definedName>
    <definedName name="_xlnm.Print_Area" localSheetId="7">'Ex. Form. Preços 1'!$B$1:$E$16</definedName>
    <definedName name="_xlnm.Print_Area" localSheetId="8">'Ex. Form. Preços 2'!$B$1:$E$17</definedName>
    <definedName name="_xlnm.Print_Area" localSheetId="3">'Formação de Preços 1'!$B$1:$E$1</definedName>
    <definedName name="_xlnm.Print_Area" localSheetId="4">'Formação de Preços 2'!$B$1:$E$31</definedName>
  </definedNames>
  <calcPr calcId="145621"/>
</workbook>
</file>

<file path=xl/calcChain.xml><?xml version="1.0" encoding="utf-8"?>
<calcChain xmlns="http://schemas.openxmlformats.org/spreadsheetml/2006/main">
  <c r="D10" i="11" l="1"/>
  <c r="C6" i="11" s="1"/>
  <c r="C13" i="11"/>
  <c r="D14" i="11"/>
  <c r="C14" i="11" s="1"/>
  <c r="D16" i="11"/>
  <c r="D17" i="11"/>
  <c r="D18" i="11"/>
  <c r="C37" i="10"/>
  <c r="C36" i="10"/>
  <c r="F34" i="10"/>
  <c r="F33" i="10"/>
  <c r="E33" i="10"/>
  <c r="D33" i="10"/>
  <c r="C33" i="10"/>
  <c r="E32" i="10"/>
  <c r="D32" i="10"/>
  <c r="C32" i="10"/>
  <c r="F26" i="10"/>
  <c r="E26" i="10"/>
  <c r="D26" i="10"/>
  <c r="E25" i="10"/>
  <c r="D25" i="10"/>
  <c r="E24" i="10"/>
  <c r="D24" i="10"/>
  <c r="F20" i="10"/>
  <c r="F19" i="10"/>
  <c r="F18" i="10"/>
  <c r="F14" i="10"/>
  <c r="F8" i="10"/>
  <c r="C9" i="11" l="1"/>
  <c r="C7" i="11"/>
  <c r="E10" i="11"/>
  <c r="C10" i="11"/>
  <c r="C8" i="11"/>
  <c r="C43" i="10"/>
  <c r="E7" i="1"/>
  <c r="E9" i="1"/>
  <c r="D24" i="1"/>
  <c r="F24" i="1"/>
  <c r="F7" i="1"/>
  <c r="D15" i="2"/>
  <c r="D25" i="1"/>
  <c r="F25" i="1"/>
  <c r="F19" i="1"/>
  <c r="D28" i="12"/>
  <c r="D8" i="4"/>
  <c r="F13" i="1"/>
  <c r="F9" i="1"/>
  <c r="D30" i="12"/>
  <c r="E30" i="12"/>
  <c r="D29" i="12"/>
  <c r="E29" i="12"/>
  <c r="E28" i="12"/>
  <c r="D27" i="12"/>
  <c r="E27" i="12"/>
  <c r="C6" i="4"/>
  <c r="C32" i="1"/>
  <c r="F18" i="1"/>
  <c r="F20" i="1"/>
  <c r="F12" i="1"/>
  <c r="F11" i="1"/>
  <c r="F10" i="1"/>
  <c r="F8" i="1"/>
  <c r="F14" i="1"/>
  <c r="F26" i="1"/>
  <c r="C33" i="1"/>
  <c r="C35" i="1"/>
  <c r="C38" i="1"/>
  <c r="D8" i="2"/>
  <c r="D6" i="2"/>
  <c r="D6" i="4"/>
  <c r="D7" i="4"/>
  <c r="D9" i="4"/>
  <c r="C10" i="4"/>
  <c r="C39" i="1"/>
  <c r="D5" i="2"/>
  <c r="D13" i="4"/>
  <c r="E13" i="4"/>
  <c r="D16" i="4"/>
  <c r="E16" i="4"/>
  <c r="D15" i="4"/>
  <c r="E15" i="4"/>
  <c r="D14" i="4"/>
  <c r="E14" i="4"/>
  <c r="C34" i="1"/>
  <c r="D7" i="2"/>
  <c r="D9" i="2"/>
  <c r="C6" i="2"/>
  <c r="C5" i="2"/>
  <c r="E9" i="2"/>
  <c r="D12" i="2"/>
  <c r="D17" i="2"/>
  <c r="C8" i="2"/>
  <c r="C7" i="2"/>
  <c r="D16" i="2"/>
  <c r="D13" i="2"/>
  <c r="C13" i="2"/>
  <c r="C12" i="2"/>
</calcChain>
</file>

<file path=xl/sharedStrings.xml><?xml version="1.0" encoding="utf-8"?>
<sst xmlns="http://schemas.openxmlformats.org/spreadsheetml/2006/main" count="257" uniqueCount="144">
  <si>
    <t>VIABILIDADE AMBIENTAL</t>
  </si>
  <si>
    <t>Listar questões relacionadas ao impacto ambiental do negócio proposto.</t>
  </si>
  <si>
    <t>Sugestão: Respostas às perguntas abaixo</t>
  </si>
  <si>
    <t xml:space="preserve">Pergunta 1: </t>
  </si>
  <si>
    <t>Quais são os insumos produtivos utilizados e qual o seu impacto ambiental?</t>
  </si>
  <si>
    <t xml:space="preserve">Pergunta 2: </t>
  </si>
  <si>
    <t>O processo de produção evita desperdícios, e se preocupa com os resíduos descartados?</t>
  </si>
  <si>
    <t xml:space="preserve">Pergunta 3: </t>
  </si>
  <si>
    <t>Quais os materiais e o volume de resíduos destinados para a coleta seletiva?</t>
  </si>
  <si>
    <t xml:space="preserve">Pergunta 4: </t>
  </si>
  <si>
    <t>Quais os materiais e o volume de resíduos impróprios para a coleta seletiva?</t>
  </si>
  <si>
    <t>Itens:</t>
  </si>
  <si>
    <t>Formação de Custos e Despesas</t>
  </si>
  <si>
    <t>Nome do produto ou serviço:</t>
  </si>
  <si>
    <t>Período(dias):</t>
  </si>
  <si>
    <t>Quantidade de produtos ou serviços ofertados:</t>
  </si>
  <si>
    <t>Equipe (pessoas):</t>
  </si>
  <si>
    <t>Materia prima</t>
  </si>
  <si>
    <t>Produto</t>
  </si>
  <si>
    <t>unidade</t>
  </si>
  <si>
    <t>$/unid.</t>
  </si>
  <si>
    <t>Quantidade</t>
  </si>
  <si>
    <t>Custo</t>
  </si>
  <si>
    <t>Lixo</t>
  </si>
  <si>
    <t>kg</t>
  </si>
  <si>
    <t>Mão de obra</t>
  </si>
  <si>
    <t>TOTAL</t>
  </si>
  <si>
    <t>Transporte</t>
  </si>
  <si>
    <t>Tipo de transporte</t>
  </si>
  <si>
    <t>Ônibus</t>
  </si>
  <si>
    <t>Metrô</t>
  </si>
  <si>
    <t>Hora de trabalho</t>
  </si>
  <si>
    <t xml:space="preserve">Salário desejado = R$ </t>
  </si>
  <si>
    <t>Calculo da hora</t>
  </si>
  <si>
    <t>Coleta de lixo</t>
  </si>
  <si>
    <t>Incineração</t>
  </si>
  <si>
    <t>Produção de energia</t>
  </si>
  <si>
    <t>Depreciação</t>
  </si>
  <si>
    <t>Equipamento</t>
  </si>
  <si>
    <t>Incinerador</t>
  </si>
  <si>
    <t>Lixeiras de poste</t>
  </si>
  <si>
    <t xml:space="preserve">Lixeiras subterraneas </t>
  </si>
  <si>
    <t>...</t>
  </si>
  <si>
    <t xml:space="preserve">Preço do equipamento </t>
  </si>
  <si>
    <t>Tempo de vida útil (anos)</t>
  </si>
  <si>
    <t>Depreciação (1 ano)</t>
  </si>
  <si>
    <t>Depreciação (1 mês)</t>
  </si>
  <si>
    <t>Total</t>
  </si>
  <si>
    <t>TOTAL de Custos/Despesas</t>
  </si>
  <si>
    <t>Por unidade produzida</t>
  </si>
  <si>
    <t>Preço formado através dos custos/despesas</t>
  </si>
  <si>
    <t>Obs.</t>
  </si>
  <si>
    <t>Custos</t>
  </si>
  <si>
    <t>Percentual</t>
  </si>
  <si>
    <t>Por 100 unidades</t>
  </si>
  <si>
    <t>Por unidade</t>
  </si>
  <si>
    <t>Da planilha anteriaor</t>
  </si>
  <si>
    <t>Matéria-prima</t>
  </si>
  <si>
    <t>Preço</t>
  </si>
  <si>
    <t>Por mês</t>
  </si>
  <si>
    <t>Da tabela acima</t>
  </si>
  <si>
    <t>Fundos (15%)</t>
  </si>
  <si>
    <t>Supondo 15% do valor final</t>
  </si>
  <si>
    <t>Impostos</t>
  </si>
  <si>
    <t>IR</t>
  </si>
  <si>
    <t>MEI (supersimples)</t>
  </si>
  <si>
    <t>. MEI é fixo por mês
. 22 dias úteis
. 3 pessoas trabalhando
. 100 cachorros quentes</t>
  </si>
  <si>
    <t>Taxa administrativa</t>
  </si>
  <si>
    <t>(telefone, administração, etc....) aprox. 10%</t>
  </si>
  <si>
    <t>Supondo 10% do valor final</t>
  </si>
  <si>
    <t>Preço final</t>
  </si>
  <si>
    <t>Atenção à taxa administrativa e ao fundo</t>
  </si>
  <si>
    <t>Preço formado através do competidor</t>
  </si>
  <si>
    <t>(1) Quadro 1 - Pesquisa de preços:</t>
  </si>
  <si>
    <t>Produto / serviço</t>
  </si>
  <si>
    <t>Preço da fabriqueta</t>
  </si>
  <si>
    <t>Concorrente 01</t>
  </si>
  <si>
    <t>Concorrente 02</t>
  </si>
  <si>
    <t>Concorrente 03</t>
  </si>
  <si>
    <t>Novo preço decidido</t>
  </si>
  <si>
    <t>(2)  Quadro 2 - Estimativas:</t>
  </si>
  <si>
    <t>Preço da concorrência?</t>
  </si>
  <si>
    <t>Supondo o preço =8</t>
  </si>
  <si>
    <t>Fundos</t>
  </si>
  <si>
    <t>Estimativa de custos do concorrente</t>
  </si>
  <si>
    <t>PROJETO: Investimentos e Atividades</t>
  </si>
  <si>
    <t>Listar todas as atividades e investimentos necessários para iniciar a operação do serviço ou produto</t>
  </si>
  <si>
    <t>Investimento ou Atividade</t>
  </si>
  <si>
    <t>Prazo</t>
  </si>
  <si>
    <t>Valor</t>
  </si>
  <si>
    <t>02 anos</t>
  </si>
  <si>
    <t>05 anos</t>
  </si>
  <si>
    <t>Lixeiras subterrâneas</t>
  </si>
  <si>
    <t xml:space="preserve">03 anos </t>
  </si>
  <si>
    <t>Material para acabamentos e necessidades extras</t>
  </si>
  <si>
    <t>1 ano</t>
  </si>
  <si>
    <t>Equipamentos de segurança e identificação</t>
  </si>
  <si>
    <t>1 ano e 6 meses</t>
  </si>
  <si>
    <t>Custos de energia/água/combustível</t>
  </si>
  <si>
    <t>Mão de obra (por cada trabalhador)</t>
  </si>
  <si>
    <t>Cachorro quente</t>
  </si>
  <si>
    <t>Período (dias)</t>
  </si>
  <si>
    <t>1 dia</t>
  </si>
  <si>
    <t>Equipe (pessoas)</t>
  </si>
  <si>
    <t>Obs.:</t>
  </si>
  <si>
    <t>pão para cachorro-quente</t>
  </si>
  <si>
    <t>pacote c/ 4 unid</t>
  </si>
  <si>
    <t>OPÇÃO 1(NÃO USADO)</t>
  </si>
  <si>
    <t xml:space="preserve">pão para cachorro-quente embalado </t>
  </si>
  <si>
    <t>caixa c/ 50 unid</t>
  </si>
  <si>
    <t>OPÇÃO 2</t>
  </si>
  <si>
    <t>salsicha perdigão</t>
  </si>
  <si>
    <t>500g aprox 10 unid</t>
  </si>
  <si>
    <t>mostarda (sachê)</t>
  </si>
  <si>
    <t>caixa c/ 208 unid 7g</t>
  </si>
  <si>
    <t>catchup (sachê)</t>
  </si>
  <si>
    <t>guardanapo</t>
  </si>
  <si>
    <t>caixa 2000 unidades</t>
  </si>
  <si>
    <t>embalagem de papelão</t>
  </si>
  <si>
    <t>caixa c/ 100 unid</t>
  </si>
  <si>
    <t>passagem</t>
  </si>
  <si>
    <t>ônibus</t>
  </si>
  <si>
    <t xml:space="preserve">Supondo retirada desejada mensal = </t>
  </si>
  <si>
    <t>Hora/dia: 8h/d (por pessoa)</t>
  </si>
  <si>
    <t>22 dias/mês;</t>
  </si>
  <si>
    <t>Quantidade
de horas/dia</t>
  </si>
  <si>
    <t>Custo pessoal (retirada)</t>
  </si>
  <si>
    <t>Trabalho externo (venda e logística)</t>
  </si>
  <si>
    <t>hora</t>
  </si>
  <si>
    <t>Trabalho interno (preparação)</t>
  </si>
  <si>
    <t>e o custo do gás, tomate, cebola (matéria prima)???</t>
  </si>
  <si>
    <t>Por dia</t>
  </si>
  <si>
    <t>Preço do equipamento (carrinho de cachorro quente)</t>
  </si>
  <si>
    <t>onde deixa o carrinho??</t>
  </si>
  <si>
    <t>depreciação (1 semana)</t>
  </si>
  <si>
    <t>depreciação (1 dia)</t>
  </si>
  <si>
    <t>. MEI é fixo por mês: r$44,40
. 22 dias úteis
. 1 pessoas trabalhando
. 100 cachorros quentes</t>
  </si>
  <si>
    <t>Taxa administrativa
(despesas)</t>
  </si>
  <si>
    <t>Supondo o preço =R$8</t>
  </si>
  <si>
    <t>NÃO POSSUIMOS CONCORRENTES</t>
  </si>
  <si>
    <t>Usaremos todos os materiais reciclados e não possuiria nenhum impacto ambiental</t>
  </si>
  <si>
    <t xml:space="preserve">Sim. </t>
  </si>
  <si>
    <t>Utilizariamos os impróprios</t>
  </si>
  <si>
    <t>Todos. Seria 3kg por semana (podendo aumentar a quantidade depois do desenvolvimento)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</si>
</sst>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\ * #,##0.00000_-;\-&quot;R$&quot;\ * #,##0.000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0" xfId="0" applyFont="1"/>
    <xf numFmtId="0" fontId="2" fillId="2" borderId="1" xfId="0" applyFont="1" applyFill="1" applyBorder="1"/>
    <xf numFmtId="0" fontId="4" fillId="0" borderId="0" xfId="0" applyFont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/>
    <xf numFmtId="0" fontId="2" fillId="5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44" fontId="7" fillId="0" borderId="1" xfId="1" applyFont="1" applyBorder="1"/>
    <xf numFmtId="9" fontId="7" fillId="0" borderId="1" xfId="0" applyNumberFormat="1" applyFont="1" applyBorder="1"/>
    <xf numFmtId="9" fontId="7" fillId="0" borderId="1" xfId="2" applyFont="1" applyBorder="1"/>
    <xf numFmtId="0" fontId="5" fillId="0" borderId="0" xfId="0" applyFont="1"/>
    <xf numFmtId="44" fontId="2" fillId="0" borderId="1" xfId="0" applyNumberFormat="1" applyFont="1" applyBorder="1"/>
    <xf numFmtId="44" fontId="0" fillId="0" borderId="0" xfId="0" applyNumberFormat="1"/>
    <xf numFmtId="44" fontId="2" fillId="4" borderId="1" xfId="0" applyNumberFormat="1" applyFont="1" applyFill="1" applyBorder="1"/>
    <xf numFmtId="164" fontId="2" fillId="0" borderId="1" xfId="1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4" fontId="7" fillId="0" borderId="1" xfId="0" applyNumberFormat="1" applyFont="1" applyBorder="1"/>
    <xf numFmtId="10" fontId="7" fillId="0" borderId="1" xfId="2" applyNumberFormat="1" applyFont="1" applyBorder="1"/>
    <xf numFmtId="0" fontId="8" fillId="0" borderId="1" xfId="0" applyFont="1" applyBorder="1" applyAlignment="1">
      <alignment wrapText="1"/>
    </xf>
    <xf numFmtId="0" fontId="10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0" fontId="0" fillId="0" borderId="0" xfId="0" applyAlignment="1">
      <alignment wrapText="1"/>
    </xf>
    <xf numFmtId="0" fontId="11" fillId="0" borderId="0" xfId="0" applyFont="1"/>
    <xf numFmtId="0" fontId="2" fillId="6" borderId="0" xfId="0" applyFont="1" applyFill="1" applyBorder="1"/>
    <xf numFmtId="44" fontId="2" fillId="6" borderId="0" xfId="1" applyFont="1" applyFill="1"/>
    <xf numFmtId="0" fontId="7" fillId="6" borderId="1" xfId="0" applyFont="1" applyFill="1" applyBorder="1"/>
    <xf numFmtId="0" fontId="2" fillId="6" borderId="1" xfId="0" applyFont="1" applyFill="1" applyBorder="1" applyAlignment="1">
      <alignment wrapText="1"/>
    </xf>
    <xf numFmtId="44" fontId="7" fillId="6" borderId="1" xfId="1" applyFont="1" applyFill="1" applyBorder="1"/>
    <xf numFmtId="0" fontId="7" fillId="0" borderId="2" xfId="0" applyFont="1" applyFill="1" applyBorder="1"/>
    <xf numFmtId="0" fontId="7" fillId="0" borderId="1" xfId="0" applyFont="1" applyFill="1" applyBorder="1"/>
    <xf numFmtId="44" fontId="14" fillId="0" borderId="1" xfId="0" applyNumberFormat="1" applyFont="1" applyBorder="1"/>
    <xf numFmtId="0" fontId="12" fillId="0" borderId="0" xfId="0" applyFont="1"/>
    <xf numFmtId="8" fontId="13" fillId="0" borderId="0" xfId="0" applyNumberFormat="1" applyFont="1"/>
    <xf numFmtId="0" fontId="15" fillId="0" borderId="0" xfId="0" applyFont="1" applyFill="1" applyBorder="1" applyAlignment="1">
      <alignment wrapText="1"/>
    </xf>
    <xf numFmtId="0" fontId="7" fillId="8" borderId="1" xfId="0" applyFont="1" applyFill="1" applyBorder="1"/>
    <xf numFmtId="9" fontId="7" fillId="8" borderId="1" xfId="2" applyFont="1" applyFill="1" applyBorder="1"/>
    <xf numFmtId="44" fontId="7" fillId="8" borderId="1" xfId="1" applyFont="1" applyFill="1" applyBorder="1"/>
    <xf numFmtId="44" fontId="7" fillId="8" borderId="1" xfId="0" applyNumberFormat="1" applyFont="1" applyFill="1" applyBorder="1"/>
    <xf numFmtId="0" fontId="0" fillId="8" borderId="0" xfId="0" applyFill="1"/>
    <xf numFmtId="0" fontId="7" fillId="9" borderId="1" xfId="0" applyFont="1" applyFill="1" applyBorder="1"/>
    <xf numFmtId="44" fontId="7" fillId="9" borderId="1" xfId="1" applyFont="1" applyFill="1" applyBorder="1"/>
    <xf numFmtId="0" fontId="7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2" fillId="5" borderId="1" xfId="0" applyNumberFormat="1" applyFont="1" applyFill="1" applyBorder="1"/>
    <xf numFmtId="0" fontId="5" fillId="7" borderId="0" xfId="0" applyFont="1" applyFill="1"/>
    <xf numFmtId="0" fontId="2" fillId="7" borderId="0" xfId="0" applyFont="1" applyFill="1"/>
    <xf numFmtId="0" fontId="0" fillId="7" borderId="0" xfId="0" applyFill="1"/>
    <xf numFmtId="0" fontId="5" fillId="7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wrapText="1"/>
    </xf>
    <xf numFmtId="4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171451</xdr:rowOff>
        </xdr:from>
        <xdr:to>
          <xdr:col>18</xdr:col>
          <xdr:colOff>180975</xdr:colOff>
          <xdr:row>22</xdr:row>
          <xdr:rowOff>21810</xdr:rowOff>
        </xdr:to>
        <xdr:pic>
          <xdr:nvPicPr>
            <xdr:cNvPr id="3" name="Imagem 2"/>
            <xdr:cNvPicPr>
              <a:picLocks noChangeAspect="1" noChangeArrowheads="1"/>
              <a:extLst>
                <a:ext uri="{84589F7E-364E-4C9E-8A38-B11213B215E9}">
                  <a14:cameraTool cellRange="'[1]Viab. Social'!$A$1:$R$21" spid="_x0000_s20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71451"/>
              <a:ext cx="11153775" cy="404135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3IK/AppData/Local/Temp/viabilidadestj_2016_1qqqqqqqqqqqqqqqqq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ab. Ambiental"/>
      <sheetName val="Viab. Social"/>
      <sheetName val="Custos e despesas"/>
      <sheetName val="Formação de Preços 1"/>
      <sheetName val="Formação de Preços 2"/>
      <sheetName val="Investimento e Atividades"/>
      <sheetName val="Ex. Custos e despesas"/>
      <sheetName val="Ex. Form. Preços 1"/>
      <sheetName val="Ex. Form. Preços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G27" sqref="G27"/>
    </sheetView>
  </sheetViews>
  <sheetFormatPr defaultRowHeight="15" x14ac:dyDescent="0.25"/>
  <cols>
    <col min="1" max="1" width="13.5703125" customWidth="1"/>
    <col min="3" max="3" width="12.28515625" customWidth="1"/>
  </cols>
  <sheetData>
    <row r="1" spans="1:11" ht="21" x14ac:dyDescent="0.35">
      <c r="A1" s="62" t="s">
        <v>0</v>
      </c>
      <c r="B1" s="62"/>
      <c r="C1" s="62"/>
    </row>
    <row r="2" spans="1:11" x14ac:dyDescent="0.25">
      <c r="A2" t="s">
        <v>1</v>
      </c>
    </row>
    <row r="3" spans="1:11" x14ac:dyDescent="0.25">
      <c r="A3" t="s">
        <v>2</v>
      </c>
    </row>
    <row r="4" spans="1:11" x14ac:dyDescent="0.25">
      <c r="A4" t="s">
        <v>3</v>
      </c>
      <c r="B4" t="s">
        <v>4</v>
      </c>
    </row>
    <row r="5" spans="1:11" x14ac:dyDescent="0.25">
      <c r="A5" t="s">
        <v>5</v>
      </c>
      <c r="B5" t="s">
        <v>6</v>
      </c>
    </row>
    <row r="6" spans="1:11" x14ac:dyDescent="0.25">
      <c r="A6" t="s">
        <v>7</v>
      </c>
      <c r="B6" t="s">
        <v>8</v>
      </c>
    </row>
    <row r="7" spans="1:11" x14ac:dyDescent="0.25">
      <c r="A7" t="s">
        <v>9</v>
      </c>
      <c r="B7" t="s">
        <v>10</v>
      </c>
    </row>
    <row r="9" spans="1:11" x14ac:dyDescent="0.25">
      <c r="A9" s="28" t="s">
        <v>11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27">
        <v>1</v>
      </c>
      <c r="B10" s="61" t="s">
        <v>140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27">
        <v>2</v>
      </c>
      <c r="B11" s="61" t="s">
        <v>141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5">
      <c r="A12" s="27">
        <v>3</v>
      </c>
      <c r="B12" s="61" t="s">
        <v>143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5">
      <c r="A13" s="27">
        <v>4</v>
      </c>
      <c r="B13" s="61" t="s">
        <v>142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5">
      <c r="A14" s="27">
        <v>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5">
      <c r="A15" s="27">
        <v>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5">
      <c r="A16" s="27">
        <v>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5">
      <c r="A17" s="27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5">
      <c r="A18" s="27">
        <v>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27">
        <v>10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</sheetData>
  <mergeCells count="12">
    <mergeCell ref="B19:K19"/>
    <mergeCell ref="A1:C1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S25" sqref="S2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zoomScale="55" zoomScaleNormal="55" workbookViewId="0">
      <selection activeCell="C44" sqref="C44"/>
    </sheetView>
  </sheetViews>
  <sheetFormatPr defaultRowHeight="15" x14ac:dyDescent="0.25"/>
  <cols>
    <col min="2" max="2" width="55.42578125" bestFit="1" customWidth="1"/>
    <col min="3" max="3" width="36.5703125" customWidth="1"/>
    <col min="4" max="4" width="30.28515625" customWidth="1"/>
    <col min="5" max="5" width="31.140625" customWidth="1"/>
    <col min="6" max="6" width="41.140625" customWidth="1"/>
    <col min="7" max="7" width="11.85546875" bestFit="1" customWidth="1"/>
  </cols>
  <sheetData>
    <row r="1" spans="2:6" ht="31.5" x14ac:dyDescent="0.5">
      <c r="B1" s="26" t="s">
        <v>12</v>
      </c>
    </row>
    <row r="2" spans="2:6" ht="26.25" x14ac:dyDescent="0.4">
      <c r="B2" s="53" t="s">
        <v>13</v>
      </c>
      <c r="C2" s="54"/>
      <c r="D2" s="55"/>
      <c r="E2" s="53" t="s">
        <v>14</v>
      </c>
      <c r="F2" s="53"/>
    </row>
    <row r="3" spans="2:6" ht="52.5" x14ac:dyDescent="0.4">
      <c r="B3" s="56" t="s">
        <v>15</v>
      </c>
      <c r="C3" s="54"/>
      <c r="D3" s="55"/>
      <c r="E3" s="53" t="s">
        <v>16</v>
      </c>
      <c r="F3" s="53"/>
    </row>
    <row r="4" spans="2:6" ht="26.25" x14ac:dyDescent="0.4">
      <c r="B4" s="22"/>
    </row>
    <row r="5" spans="2:6" ht="18.75" x14ac:dyDescent="0.3">
      <c r="B5" s="3" t="s">
        <v>17</v>
      </c>
    </row>
    <row r="6" spans="2:6" ht="23.25" x14ac:dyDescent="0.35"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</row>
    <row r="7" spans="2:6" ht="23.25" x14ac:dyDescent="0.35">
      <c r="B7" s="1" t="s">
        <v>23</v>
      </c>
      <c r="C7" s="1" t="s">
        <v>24</v>
      </c>
      <c r="D7" s="2"/>
      <c r="E7" s="1"/>
      <c r="F7" s="16">
        <v>0</v>
      </c>
    </row>
    <row r="8" spans="2:6" ht="23.25" x14ac:dyDescent="0.35">
      <c r="B8" s="1" t="s">
        <v>25</v>
      </c>
      <c r="C8" s="1"/>
      <c r="D8" s="2">
        <v>880</v>
      </c>
      <c r="E8" s="1">
        <v>54</v>
      </c>
      <c r="F8" s="16">
        <f>D8*E8</f>
        <v>47520</v>
      </c>
    </row>
    <row r="9" spans="2:6" ht="23.25" x14ac:dyDescent="0.35">
      <c r="B9" s="1"/>
      <c r="C9" s="1"/>
      <c r="D9" s="2"/>
      <c r="E9" s="1"/>
      <c r="F9" s="16"/>
    </row>
    <row r="10" spans="2:6" ht="23.25" x14ac:dyDescent="0.35">
      <c r="B10" s="1"/>
      <c r="C10" s="1"/>
      <c r="D10" s="2"/>
      <c r="E10" s="1"/>
      <c r="F10" s="16"/>
    </row>
    <row r="11" spans="2:6" ht="23.25" x14ac:dyDescent="0.35">
      <c r="B11" s="1"/>
      <c r="C11" s="1"/>
      <c r="D11" s="2"/>
      <c r="E11" s="1"/>
      <c r="F11" s="16"/>
    </row>
    <row r="12" spans="2:6" ht="23.25" x14ac:dyDescent="0.35">
      <c r="B12" s="1"/>
      <c r="C12" s="1"/>
      <c r="D12" s="2"/>
      <c r="E12" s="1"/>
      <c r="F12" s="16"/>
    </row>
    <row r="13" spans="2:6" ht="23.25" x14ac:dyDescent="0.35">
      <c r="B13" s="1"/>
      <c r="C13" s="1"/>
      <c r="D13" s="2"/>
      <c r="E13" s="1"/>
      <c r="F13" s="2"/>
    </row>
    <row r="14" spans="2:6" ht="23.25" x14ac:dyDescent="0.35">
      <c r="B14" s="1"/>
      <c r="C14" s="1"/>
      <c r="D14" s="2"/>
      <c r="E14" s="1" t="s">
        <v>26</v>
      </c>
      <c r="F14" s="2">
        <f>SUM(F7:F13)</f>
        <v>47520</v>
      </c>
    </row>
    <row r="16" spans="2:6" ht="18.75" x14ac:dyDescent="0.3">
      <c r="B16" s="3" t="s">
        <v>27</v>
      </c>
    </row>
    <row r="17" spans="2:7" ht="23.25" x14ac:dyDescent="0.35">
      <c r="B17" s="6" t="s">
        <v>28</v>
      </c>
      <c r="C17" s="6" t="s">
        <v>19</v>
      </c>
      <c r="D17" s="6" t="s">
        <v>20</v>
      </c>
      <c r="E17" s="6" t="s">
        <v>21</v>
      </c>
      <c r="F17" s="6" t="s">
        <v>22</v>
      </c>
    </row>
    <row r="18" spans="2:7" ht="23.25" x14ac:dyDescent="0.35">
      <c r="B18" s="1" t="s">
        <v>29</v>
      </c>
      <c r="C18" s="1">
        <v>24</v>
      </c>
      <c r="D18" s="2">
        <v>3.8</v>
      </c>
      <c r="E18" s="1"/>
      <c r="F18" s="16">
        <f>C18*D18</f>
        <v>91.199999999999989</v>
      </c>
    </row>
    <row r="19" spans="2:7" ht="23.25" x14ac:dyDescent="0.35">
      <c r="B19" s="1" t="s">
        <v>30</v>
      </c>
      <c r="C19" s="1">
        <v>30</v>
      </c>
      <c r="D19" s="2">
        <v>4.0999999999999996</v>
      </c>
      <c r="E19" s="1"/>
      <c r="F19" s="16">
        <f>C19*D19</f>
        <v>122.99999999999999</v>
      </c>
    </row>
    <row r="20" spans="2:7" ht="23.25" x14ac:dyDescent="0.35">
      <c r="B20" s="1"/>
      <c r="C20" s="1"/>
      <c r="D20" s="2"/>
      <c r="E20" s="1" t="s">
        <v>26</v>
      </c>
      <c r="F20" s="16">
        <f>SUM(F18:F19)</f>
        <v>214.2</v>
      </c>
    </row>
    <row r="22" spans="2:7" ht="23.25" x14ac:dyDescent="0.35">
      <c r="B22" s="3" t="s">
        <v>31</v>
      </c>
      <c r="C22" s="8" t="s">
        <v>32</v>
      </c>
      <c r="D22">
        <v>0</v>
      </c>
    </row>
    <row r="23" spans="2:7" ht="23.25" x14ac:dyDescent="0.35">
      <c r="B23" s="7" t="s">
        <v>33</v>
      </c>
      <c r="C23" s="7" t="s">
        <v>19</v>
      </c>
      <c r="D23" s="7" t="s">
        <v>20</v>
      </c>
      <c r="E23" s="7" t="s">
        <v>21</v>
      </c>
      <c r="F23" s="7" t="s">
        <v>22</v>
      </c>
    </row>
    <row r="24" spans="2:7" ht="23.25" x14ac:dyDescent="0.35">
      <c r="B24" s="1" t="s">
        <v>34</v>
      </c>
      <c r="C24" s="1">
        <v>8</v>
      </c>
      <c r="D24" s="2">
        <f>880/E24</f>
        <v>5</v>
      </c>
      <c r="E24" s="1">
        <f>8*22</f>
        <v>176</v>
      </c>
      <c r="F24" s="16">
        <v>880</v>
      </c>
    </row>
    <row r="25" spans="2:7" ht="23.25" x14ac:dyDescent="0.35">
      <c r="B25" s="1" t="s">
        <v>35</v>
      </c>
      <c r="C25" s="1">
        <v>8</v>
      </c>
      <c r="D25" s="2">
        <f>880/E25</f>
        <v>5</v>
      </c>
      <c r="E25" s="1">
        <f>8*22</f>
        <v>176</v>
      </c>
      <c r="F25" s="16"/>
    </row>
    <row r="26" spans="2:7" ht="23.25" x14ac:dyDescent="0.35">
      <c r="B26" s="1" t="s">
        <v>36</v>
      </c>
      <c r="C26" s="1">
        <v>8</v>
      </c>
      <c r="D26" s="2">
        <f>880/E26</f>
        <v>5</v>
      </c>
      <c r="E26" s="1">
        <f>8*22</f>
        <v>176</v>
      </c>
      <c r="F26" s="18">
        <f>SUM(F24:F25)</f>
        <v>880</v>
      </c>
      <c r="G26" s="17"/>
    </row>
    <row r="28" spans="2:7" ht="23.25" x14ac:dyDescent="0.35">
      <c r="B28" s="3" t="s">
        <v>37</v>
      </c>
      <c r="C28" s="8"/>
    </row>
    <row r="29" spans="2:7" ht="23.25" x14ac:dyDescent="0.35">
      <c r="B29" s="9" t="s">
        <v>38</v>
      </c>
      <c r="C29" s="9" t="s">
        <v>39</v>
      </c>
      <c r="D29" s="9" t="s">
        <v>40</v>
      </c>
      <c r="E29" s="9" t="s">
        <v>41</v>
      </c>
      <c r="F29" s="9" t="s">
        <v>42</v>
      </c>
    </row>
    <row r="30" spans="2:7" ht="23.25" x14ac:dyDescent="0.35">
      <c r="B30" s="21" t="s">
        <v>43</v>
      </c>
      <c r="C30" s="2">
        <v>3250</v>
      </c>
      <c r="D30" s="2">
        <v>70</v>
      </c>
      <c r="E30" s="60">
        <v>1720</v>
      </c>
      <c r="F30" s="1"/>
    </row>
    <row r="31" spans="2:7" ht="23.25" x14ac:dyDescent="0.35">
      <c r="B31" s="1" t="s">
        <v>44</v>
      </c>
      <c r="C31" s="1">
        <v>5</v>
      </c>
      <c r="D31" s="2">
        <v>2</v>
      </c>
      <c r="E31" s="21">
        <v>3</v>
      </c>
      <c r="F31" s="1"/>
    </row>
    <row r="32" spans="2:7" ht="23.25" x14ac:dyDescent="0.35">
      <c r="B32" s="1" t="s">
        <v>45</v>
      </c>
      <c r="C32" s="2">
        <f>C30/C31</f>
        <v>650</v>
      </c>
      <c r="D32" s="2">
        <f>D30/D31</f>
        <v>35</v>
      </c>
      <c r="E32" s="2">
        <f>E30/E31</f>
        <v>573.33333333333337</v>
      </c>
      <c r="F32" s="1"/>
    </row>
    <row r="33" spans="2:6" ht="23.25" x14ac:dyDescent="0.35">
      <c r="B33" s="1" t="s">
        <v>46</v>
      </c>
      <c r="C33" s="16">
        <f>C32/12</f>
        <v>54.166666666666664</v>
      </c>
      <c r="D33" s="16">
        <f>D32/12</f>
        <v>2.9166666666666665</v>
      </c>
      <c r="E33" s="16">
        <f>E32/12</f>
        <v>47.777777777777779</v>
      </c>
      <c r="F33" s="16">
        <f>SUM(C33:E33)</f>
        <v>104.86111111111111</v>
      </c>
    </row>
    <row r="34" spans="2:6" ht="35.25" customHeight="1" x14ac:dyDescent="0.35">
      <c r="E34" t="s">
        <v>47</v>
      </c>
      <c r="F34" s="52">
        <f>SUM(F31:F33)</f>
        <v>104.86111111111111</v>
      </c>
    </row>
    <row r="36" spans="2:6" ht="23.25" x14ac:dyDescent="0.35">
      <c r="B36" s="32" t="s">
        <v>48</v>
      </c>
      <c r="C36" s="33">
        <f>F14+F20+F26+F34</f>
        <v>48719.061111111107</v>
      </c>
    </row>
    <row r="37" spans="2:6" ht="23.25" x14ac:dyDescent="0.35">
      <c r="B37" s="32" t="s">
        <v>49</v>
      </c>
      <c r="C37" s="33">
        <f>C36/100</f>
        <v>487.19061111111108</v>
      </c>
    </row>
    <row r="43" spans="2:6" x14ac:dyDescent="0.25">
      <c r="C43">
        <f>54.17*60</f>
        <v>3250.2000000000003</v>
      </c>
    </row>
  </sheetData>
  <pageMargins left="0.511811024" right="0.511811024" top="0.78740157499999996" bottom="0.78740157499999996" header="0.31496062000000002" footer="0.31496062000000002"/>
  <pageSetup paperSize="9" scale="94" fitToHeight="0" orientation="landscape" verticalDpi="0" r:id="rId1"/>
  <rowBreaks count="1" manualBreakCount="1">
    <brk id="20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zoomScale="70" zoomScaleNormal="70" workbookViewId="0">
      <selection activeCell="F28" sqref="F28"/>
    </sheetView>
  </sheetViews>
  <sheetFormatPr defaultRowHeight="15" x14ac:dyDescent="0.25"/>
  <cols>
    <col min="2" max="2" width="36.7109375" customWidth="1"/>
    <col min="3" max="3" width="40.5703125" customWidth="1"/>
    <col min="4" max="4" width="32.5703125" customWidth="1"/>
    <col min="5" max="5" width="32" customWidth="1"/>
    <col min="6" max="6" width="53" customWidth="1"/>
  </cols>
  <sheetData>
    <row r="3" spans="2:6" ht="23.25" x14ac:dyDescent="0.35">
      <c r="B3" s="5" t="s">
        <v>50</v>
      </c>
      <c r="D3" s="20"/>
    </row>
    <row r="4" spans="2:6" x14ac:dyDescent="0.25">
      <c r="F4" t="s">
        <v>51</v>
      </c>
    </row>
    <row r="5" spans="2:6" ht="28.5" x14ac:dyDescent="0.45">
      <c r="B5" s="10" t="s">
        <v>52</v>
      </c>
      <c r="C5" s="11" t="s">
        <v>53</v>
      </c>
      <c r="D5" s="11" t="s">
        <v>54</v>
      </c>
      <c r="E5" s="11" t="s">
        <v>55</v>
      </c>
      <c r="F5" t="s">
        <v>56</v>
      </c>
    </row>
    <row r="6" spans="2:6" ht="28.5" x14ac:dyDescent="0.45">
      <c r="B6" s="11" t="s">
        <v>57</v>
      </c>
      <c r="C6" s="14">
        <f>D6/$D$10</f>
        <v>0.97538827719582444</v>
      </c>
      <c r="D6" s="12">
        <v>47520</v>
      </c>
      <c r="E6" s="11"/>
    </row>
    <row r="7" spans="2:6" ht="28.5" x14ac:dyDescent="0.45">
      <c r="B7" s="11" t="s">
        <v>27</v>
      </c>
      <c r="C7" s="14">
        <f>D7/$D$10</f>
        <v>4.3966365525114808E-3</v>
      </c>
      <c r="D7" s="12">
        <v>214.2</v>
      </c>
      <c r="E7" s="11"/>
    </row>
    <row r="8" spans="2:6" ht="28.5" x14ac:dyDescent="0.45">
      <c r="B8" s="11" t="s">
        <v>31</v>
      </c>
      <c r="C8" s="14">
        <f>D8/$D$10</f>
        <v>1.8062745873996748E-2</v>
      </c>
      <c r="D8" s="12">
        <v>880</v>
      </c>
      <c r="E8" s="11"/>
    </row>
    <row r="9" spans="2:6" ht="28.5" x14ac:dyDescent="0.45">
      <c r="B9" s="11" t="s">
        <v>37</v>
      </c>
      <c r="C9" s="14">
        <f>D9/$D$10</f>
        <v>2.1523403776673852E-3</v>
      </c>
      <c r="D9" s="12">
        <v>104.86</v>
      </c>
      <c r="E9" s="11"/>
    </row>
    <row r="10" spans="2:6" ht="28.5" x14ac:dyDescent="0.45">
      <c r="B10" s="11"/>
      <c r="C10" s="14">
        <f>D10/$D$10</f>
        <v>1</v>
      </c>
      <c r="D10" s="12">
        <f>SUM(D6:D9)</f>
        <v>48719.06</v>
      </c>
      <c r="E10" s="23">
        <f>D10/100</f>
        <v>487.19059999999996</v>
      </c>
    </row>
    <row r="12" spans="2:6" ht="28.5" x14ac:dyDescent="0.45">
      <c r="B12" s="10" t="s">
        <v>58</v>
      </c>
      <c r="C12" s="11" t="s">
        <v>53</v>
      </c>
      <c r="D12" s="11" t="s">
        <v>55</v>
      </c>
      <c r="E12" s="11" t="s">
        <v>59</v>
      </c>
    </row>
    <row r="13" spans="2:6" ht="28.5" x14ac:dyDescent="0.45">
      <c r="B13" s="11" t="s">
        <v>52</v>
      </c>
      <c r="C13" s="24">
        <f>D13/D18</f>
        <v>0.74690594634372054</v>
      </c>
      <c r="D13" s="12">
        <v>487.19</v>
      </c>
      <c r="E13" s="11"/>
      <c r="F13" t="s">
        <v>60</v>
      </c>
    </row>
    <row r="14" spans="2:6" ht="28.5" x14ac:dyDescent="0.45">
      <c r="B14" s="11" t="s">
        <v>61</v>
      </c>
      <c r="C14" s="24">
        <f>D14/D18</f>
        <v>0.11203589195155808</v>
      </c>
      <c r="D14" s="12">
        <f>D13*15%</f>
        <v>73.078499999999991</v>
      </c>
      <c r="E14" s="11"/>
      <c r="F14" t="s">
        <v>62</v>
      </c>
    </row>
    <row r="15" spans="2:6" ht="67.5" customHeight="1" x14ac:dyDescent="0.45">
      <c r="B15" s="11" t="s">
        <v>63</v>
      </c>
      <c r="C15" s="11"/>
      <c r="D15" s="12"/>
      <c r="E15" s="11"/>
    </row>
    <row r="16" spans="2:6" ht="63" x14ac:dyDescent="0.45">
      <c r="B16" s="11" t="s">
        <v>64</v>
      </c>
      <c r="C16" s="11" t="s">
        <v>65</v>
      </c>
      <c r="D16" s="12">
        <f>E16/22</f>
        <v>2.0181818181818181</v>
      </c>
      <c r="E16" s="12">
        <v>44.4</v>
      </c>
      <c r="F16" s="30" t="s">
        <v>66</v>
      </c>
    </row>
    <row r="17" spans="2:6" ht="43.5" x14ac:dyDescent="0.45">
      <c r="B17" s="11" t="s">
        <v>67</v>
      </c>
      <c r="C17" s="25" t="s">
        <v>68</v>
      </c>
      <c r="D17" s="12">
        <f>D18*10%</f>
        <v>65.227757575757579</v>
      </c>
      <c r="E17" s="12"/>
      <c r="F17" t="s">
        <v>69</v>
      </c>
    </row>
    <row r="18" spans="2:6" ht="28.5" x14ac:dyDescent="0.45">
      <c r="B18" s="34" t="s">
        <v>70</v>
      </c>
      <c r="C18" s="35"/>
      <c r="D18" s="36">
        <f>SUM(D13,D16)/(1-10%-15%)</f>
        <v>652.27757575757573</v>
      </c>
      <c r="E18" s="12"/>
      <c r="F18" t="s">
        <v>71</v>
      </c>
    </row>
    <row r="19" spans="2:6" x14ac:dyDescent="0.25">
      <c r="F19" s="31"/>
    </row>
  </sheetData>
  <pageMargins left="0.511811024" right="0.511811024" top="0.78740157499999996" bottom="0.78740157499999996" header="0.31496062000000002" footer="0.31496062000000002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opLeftCell="A4" zoomScale="70" zoomScaleNormal="70" workbookViewId="0">
      <selection activeCell="G26" sqref="G26"/>
    </sheetView>
  </sheetViews>
  <sheetFormatPr defaultRowHeight="15" x14ac:dyDescent="0.25"/>
  <cols>
    <col min="2" max="2" width="62.5703125" customWidth="1"/>
    <col min="3" max="3" width="39" customWidth="1"/>
    <col min="4" max="4" width="29.28515625" bestFit="1" customWidth="1"/>
    <col min="5" max="5" width="32" customWidth="1"/>
    <col min="6" max="6" width="40" customWidth="1"/>
    <col min="7" max="7" width="39.5703125" customWidth="1"/>
  </cols>
  <sheetData>
    <row r="2" spans="2:7" ht="23.25" x14ac:dyDescent="0.35">
      <c r="B2" s="5" t="s">
        <v>72</v>
      </c>
    </row>
    <row r="5" spans="2:7" ht="28.5" x14ac:dyDescent="0.45">
      <c r="B5" s="11" t="s">
        <v>73</v>
      </c>
    </row>
    <row r="8" spans="2:7" ht="28.5" x14ac:dyDescent="0.45">
      <c r="B8" s="11" t="s">
        <v>74</v>
      </c>
      <c r="C8" s="11" t="s">
        <v>75</v>
      </c>
      <c r="D8" s="11" t="s">
        <v>76</v>
      </c>
      <c r="E8" s="11" t="s">
        <v>77</v>
      </c>
      <c r="F8" s="11" t="s">
        <v>78</v>
      </c>
      <c r="G8" s="38" t="s">
        <v>79</v>
      </c>
    </row>
    <row r="9" spans="2:7" x14ac:dyDescent="0.25">
      <c r="B9" s="27"/>
      <c r="C9" s="27"/>
      <c r="D9" s="27"/>
      <c r="E9" s="27"/>
      <c r="F9" s="27"/>
      <c r="G9" s="27"/>
    </row>
    <row r="10" spans="2:7" x14ac:dyDescent="0.25">
      <c r="B10" s="27"/>
      <c r="C10" s="65" t="s">
        <v>139</v>
      </c>
      <c r="D10" s="63"/>
      <c r="E10" s="64"/>
      <c r="F10" s="27"/>
      <c r="G10" s="27"/>
    </row>
    <row r="11" spans="2:7" x14ac:dyDescent="0.25">
      <c r="B11" s="27"/>
      <c r="C11" s="27"/>
      <c r="D11" s="27"/>
      <c r="E11" s="27"/>
      <c r="F11" s="27"/>
      <c r="G11" s="27"/>
    </row>
    <row r="16" spans="2:7" ht="28.5" x14ac:dyDescent="0.45">
      <c r="B16" s="11" t="s">
        <v>80</v>
      </c>
    </row>
    <row r="18" spans="2:6" ht="48.75" customHeight="1" x14ac:dyDescent="0.45">
      <c r="B18" s="10" t="s">
        <v>58</v>
      </c>
      <c r="C18" s="11" t="s">
        <v>53</v>
      </c>
      <c r="D18" s="11" t="s">
        <v>55</v>
      </c>
      <c r="E18" s="11" t="s">
        <v>59</v>
      </c>
      <c r="F18" s="37" t="s">
        <v>51</v>
      </c>
    </row>
    <row r="19" spans="2:6" ht="28.5" x14ac:dyDescent="0.45">
      <c r="B19" s="10" t="s">
        <v>81</v>
      </c>
      <c r="C19" s="11"/>
      <c r="D19" s="11"/>
      <c r="E19" s="11"/>
      <c r="F19" t="s">
        <v>82</v>
      </c>
    </row>
    <row r="20" spans="2:6" ht="28.5" x14ac:dyDescent="0.45">
      <c r="B20" s="11" t="s">
        <v>52</v>
      </c>
      <c r="C20" s="14"/>
      <c r="D20" s="11"/>
      <c r="E20" s="11"/>
    </row>
    <row r="21" spans="2:6" ht="28.5" x14ac:dyDescent="0.45">
      <c r="B21" s="11" t="s">
        <v>83</v>
      </c>
      <c r="C21" s="13"/>
      <c r="D21" s="11"/>
      <c r="E21" s="11"/>
    </row>
    <row r="22" spans="2:6" ht="63" x14ac:dyDescent="0.45">
      <c r="B22" s="11" t="s">
        <v>63</v>
      </c>
      <c r="C22" s="13"/>
      <c r="D22" s="23"/>
      <c r="E22" s="12"/>
      <c r="F22" s="30" t="s">
        <v>66</v>
      </c>
    </row>
    <row r="23" spans="2:6" ht="28.5" x14ac:dyDescent="0.45">
      <c r="B23" s="11" t="s">
        <v>67</v>
      </c>
      <c r="C23" s="13"/>
      <c r="D23" s="11"/>
      <c r="E23" s="12"/>
    </row>
    <row r="24" spans="2:6" ht="28.5" x14ac:dyDescent="0.45">
      <c r="B24" s="11"/>
      <c r="C24" s="13"/>
      <c r="D24" s="11"/>
      <c r="E24" s="12"/>
    </row>
    <row r="26" spans="2:6" ht="28.5" x14ac:dyDescent="0.45">
      <c r="B26" s="10" t="s">
        <v>52</v>
      </c>
      <c r="C26" s="11"/>
      <c r="D26" s="11" t="s">
        <v>55</v>
      </c>
      <c r="E26" s="11" t="s">
        <v>54</v>
      </c>
      <c r="F26" s="30" t="s">
        <v>84</v>
      </c>
    </row>
    <row r="27" spans="2:6" ht="28.5" x14ac:dyDescent="0.45">
      <c r="B27" s="11" t="s">
        <v>57</v>
      </c>
      <c r="C27" s="13"/>
      <c r="D27" s="12">
        <f>C27*$D$20</f>
        <v>0</v>
      </c>
      <c r="E27" s="23">
        <f>D27*100</f>
        <v>0</v>
      </c>
    </row>
    <row r="28" spans="2:6" ht="28.5" x14ac:dyDescent="0.45">
      <c r="B28" s="11" t="s">
        <v>27</v>
      </c>
      <c r="C28" s="13"/>
      <c r="D28" s="12">
        <f>C28*$D$20</f>
        <v>0</v>
      </c>
      <c r="E28" s="23">
        <f>D28*100</f>
        <v>0</v>
      </c>
    </row>
    <row r="29" spans="2:6" ht="28.5" x14ac:dyDescent="0.45">
      <c r="B29" s="11" t="s">
        <v>31</v>
      </c>
      <c r="C29" s="13"/>
      <c r="D29" s="12">
        <f>C29*$D$20</f>
        <v>0</v>
      </c>
      <c r="E29" s="23">
        <f>D29*100</f>
        <v>0</v>
      </c>
    </row>
    <row r="30" spans="2:6" ht="28.5" x14ac:dyDescent="0.45">
      <c r="B30" s="11" t="s">
        <v>37</v>
      </c>
      <c r="C30" s="13"/>
      <c r="D30" s="12">
        <f>C30*$D$20</f>
        <v>0</v>
      </c>
      <c r="E30" s="23">
        <f>D30*100</f>
        <v>0</v>
      </c>
    </row>
    <row r="31" spans="2:6" ht="28.5" x14ac:dyDescent="0.45">
      <c r="B31" s="11"/>
      <c r="C31" s="11"/>
      <c r="D31" s="11"/>
      <c r="E31" s="11"/>
    </row>
  </sheetData>
  <mergeCells count="1">
    <mergeCell ref="C10:E10"/>
  </mergeCells>
  <pageMargins left="0.511811024" right="0.511811024" top="0.78740157499999996" bottom="0.78740157499999996" header="0.31496062000000002" footer="0.31496062000000002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45" zoomScaleNormal="145" workbookViewId="0">
      <selection activeCell="B7" sqref="B7"/>
    </sheetView>
  </sheetViews>
  <sheetFormatPr defaultRowHeight="15" x14ac:dyDescent="0.25"/>
  <cols>
    <col min="1" max="1" width="26.42578125" customWidth="1"/>
    <col min="2" max="2" width="14.140625" customWidth="1"/>
    <col min="3" max="3" width="16.5703125" customWidth="1"/>
    <col min="4" max="4" width="9" customWidth="1"/>
    <col min="5" max="5" width="24.85546875" customWidth="1"/>
  </cols>
  <sheetData>
    <row r="1" spans="1:5" ht="21" x14ac:dyDescent="0.35">
      <c r="A1" s="62" t="s">
        <v>85</v>
      </c>
      <c r="B1" s="62"/>
      <c r="C1" s="62"/>
      <c r="D1" s="62"/>
      <c r="E1" s="62"/>
    </row>
    <row r="2" spans="1:5" x14ac:dyDescent="0.25">
      <c r="A2" t="s">
        <v>86</v>
      </c>
    </row>
    <row r="4" spans="1:5" x14ac:dyDescent="0.25">
      <c r="A4" s="27" t="s">
        <v>87</v>
      </c>
      <c r="B4" s="27" t="s">
        <v>88</v>
      </c>
      <c r="C4" s="27" t="s">
        <v>89</v>
      </c>
    </row>
    <row r="5" spans="1:5" x14ac:dyDescent="0.25">
      <c r="A5" s="58" t="s">
        <v>40</v>
      </c>
      <c r="B5" s="27" t="s">
        <v>90</v>
      </c>
      <c r="C5" s="29">
        <v>70</v>
      </c>
    </row>
    <row r="6" spans="1:5" x14ac:dyDescent="0.25">
      <c r="A6" s="27" t="s">
        <v>39</v>
      </c>
      <c r="B6" s="27" t="s">
        <v>91</v>
      </c>
      <c r="C6" s="29">
        <v>3250</v>
      </c>
    </row>
    <row r="7" spans="1:5" x14ac:dyDescent="0.25">
      <c r="A7" s="27" t="s">
        <v>92</v>
      </c>
      <c r="B7" s="59" t="s">
        <v>93</v>
      </c>
      <c r="C7" s="29">
        <v>1720</v>
      </c>
    </row>
    <row r="8" spans="1:5" ht="30" x14ac:dyDescent="0.25">
      <c r="A8" s="59" t="s">
        <v>94</v>
      </c>
      <c r="B8" s="27" t="s">
        <v>95</v>
      </c>
      <c r="C8" s="29">
        <v>8250</v>
      </c>
    </row>
    <row r="9" spans="1:5" ht="30" x14ac:dyDescent="0.25">
      <c r="A9" s="59" t="s">
        <v>96</v>
      </c>
      <c r="B9" s="27" t="s">
        <v>97</v>
      </c>
      <c r="C9" s="29">
        <v>4370</v>
      </c>
    </row>
    <row r="10" spans="1:5" ht="30" x14ac:dyDescent="0.25">
      <c r="A10" s="59" t="s">
        <v>98</v>
      </c>
      <c r="B10" s="27" t="s">
        <v>95</v>
      </c>
      <c r="C10" s="29">
        <v>3400</v>
      </c>
    </row>
    <row r="11" spans="1:5" ht="30" x14ac:dyDescent="0.25">
      <c r="A11" s="59" t="s">
        <v>99</v>
      </c>
      <c r="B11" s="27" t="s">
        <v>95</v>
      </c>
      <c r="C11" s="29">
        <v>880</v>
      </c>
    </row>
    <row r="12" spans="1:5" x14ac:dyDescent="0.25">
      <c r="A12" s="27"/>
      <c r="B12" s="27"/>
      <c r="C12" s="29"/>
    </row>
    <row r="13" spans="1:5" x14ac:dyDescent="0.25">
      <c r="A13" s="27"/>
      <c r="B13" s="27"/>
      <c r="C13" s="29"/>
    </row>
    <row r="14" spans="1:5" x14ac:dyDescent="0.25">
      <c r="A14" s="27"/>
      <c r="B14" s="27"/>
      <c r="C14" s="29"/>
    </row>
    <row r="15" spans="1:5" x14ac:dyDescent="0.25">
      <c r="A15" s="27"/>
      <c r="B15" s="27"/>
      <c r="C15" s="29"/>
    </row>
    <row r="16" spans="1:5" x14ac:dyDescent="0.25">
      <c r="A16" s="27"/>
      <c r="B16" s="27"/>
      <c r="C16" s="29"/>
    </row>
    <row r="17" spans="1:3" x14ac:dyDescent="0.25">
      <c r="A17" s="27"/>
      <c r="B17" s="27"/>
      <c r="C17" s="29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topLeftCell="A452" zoomScale="70" zoomScaleNormal="70" workbookViewId="0">
      <selection activeCell="B521" sqref="B521"/>
    </sheetView>
  </sheetViews>
  <sheetFormatPr defaultRowHeight="15" x14ac:dyDescent="0.25"/>
  <cols>
    <col min="2" max="2" width="55.42578125" bestFit="1" customWidth="1"/>
    <col min="3" max="3" width="41" customWidth="1"/>
    <col min="4" max="4" width="19.140625" customWidth="1"/>
    <col min="5" max="5" width="29.7109375" customWidth="1"/>
    <col min="6" max="6" width="42.5703125" customWidth="1"/>
    <col min="7" max="7" width="21.5703125" bestFit="1" customWidth="1"/>
  </cols>
  <sheetData>
    <row r="1" spans="2:7" ht="31.5" x14ac:dyDescent="0.5">
      <c r="B1" s="26" t="s">
        <v>12</v>
      </c>
    </row>
    <row r="2" spans="2:7" ht="26.25" x14ac:dyDescent="0.4">
      <c r="B2" s="15" t="s">
        <v>13</v>
      </c>
      <c r="C2" s="20" t="s">
        <v>100</v>
      </c>
      <c r="E2" s="15" t="s">
        <v>101</v>
      </c>
      <c r="F2" s="57" t="s">
        <v>102</v>
      </c>
    </row>
    <row r="3" spans="2:7" ht="52.5" x14ac:dyDescent="0.4">
      <c r="B3" s="22" t="s">
        <v>15</v>
      </c>
      <c r="C3" s="20">
        <v>100</v>
      </c>
      <c r="E3" s="15" t="s">
        <v>103</v>
      </c>
      <c r="F3" s="57">
        <v>1</v>
      </c>
    </row>
    <row r="4" spans="2:7" ht="26.25" x14ac:dyDescent="0.4">
      <c r="B4" s="22"/>
    </row>
    <row r="5" spans="2:7" ht="18.75" x14ac:dyDescent="0.3">
      <c r="B5" s="3" t="s">
        <v>17</v>
      </c>
      <c r="G5" t="s">
        <v>104</v>
      </c>
    </row>
    <row r="6" spans="2:7" ht="23.25" x14ac:dyDescent="0.35"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</row>
    <row r="7" spans="2:7" ht="23.25" x14ac:dyDescent="0.35">
      <c r="B7" s="1" t="s">
        <v>105</v>
      </c>
      <c r="C7" s="1" t="s">
        <v>106</v>
      </c>
      <c r="D7" s="2">
        <v>3.59</v>
      </c>
      <c r="E7" s="1">
        <f>100/4</f>
        <v>25</v>
      </c>
      <c r="F7" s="39">
        <f>E7*D7</f>
        <v>89.75</v>
      </c>
      <c r="G7" s="40" t="s">
        <v>107</v>
      </c>
    </row>
    <row r="8" spans="2:7" ht="23.25" x14ac:dyDescent="0.35">
      <c r="B8" s="1" t="s">
        <v>108</v>
      </c>
      <c r="C8" s="1" t="s">
        <v>109</v>
      </c>
      <c r="D8" s="2">
        <v>28.5</v>
      </c>
      <c r="E8" s="1">
        <v>2</v>
      </c>
      <c r="F8" s="16">
        <f>D8*E8</f>
        <v>57</v>
      </c>
      <c r="G8" t="s">
        <v>110</v>
      </c>
    </row>
    <row r="9" spans="2:7" ht="23.25" x14ac:dyDescent="0.35">
      <c r="B9" s="1" t="s">
        <v>111</v>
      </c>
      <c r="C9" s="1" t="s">
        <v>112</v>
      </c>
      <c r="D9" s="2">
        <v>7.8</v>
      </c>
      <c r="E9" s="1">
        <f>100/10</f>
        <v>10</v>
      </c>
      <c r="F9" s="16">
        <f>E9*D9</f>
        <v>78</v>
      </c>
    </row>
    <row r="10" spans="2:7" ht="23.25" x14ac:dyDescent="0.35">
      <c r="B10" s="1" t="s">
        <v>113</v>
      </c>
      <c r="C10" s="1" t="s">
        <v>114</v>
      </c>
      <c r="D10" s="2">
        <v>10.58</v>
      </c>
      <c r="E10" s="1">
        <v>1</v>
      </c>
      <c r="F10" s="16">
        <f>E10*D10</f>
        <v>10.58</v>
      </c>
    </row>
    <row r="11" spans="2:7" ht="23.25" x14ac:dyDescent="0.35">
      <c r="B11" s="1" t="s">
        <v>115</v>
      </c>
      <c r="C11" s="1" t="s">
        <v>114</v>
      </c>
      <c r="D11" s="2">
        <v>7.19</v>
      </c>
      <c r="E11" s="1">
        <v>1</v>
      </c>
      <c r="F11" s="16">
        <f>E11*D11</f>
        <v>7.19</v>
      </c>
    </row>
    <row r="12" spans="2:7" ht="23.25" x14ac:dyDescent="0.35">
      <c r="B12" s="1" t="s">
        <v>116</v>
      </c>
      <c r="C12" s="1" t="s">
        <v>117</v>
      </c>
      <c r="D12" s="2">
        <v>9.89</v>
      </c>
      <c r="E12" s="1">
        <v>1</v>
      </c>
      <c r="F12" s="16">
        <f>E12*D12</f>
        <v>9.89</v>
      </c>
    </row>
    <row r="13" spans="2:7" ht="23.25" x14ac:dyDescent="0.35">
      <c r="B13" s="1" t="s">
        <v>118</v>
      </c>
      <c r="C13" s="1" t="s">
        <v>119</v>
      </c>
      <c r="D13" s="2">
        <v>40</v>
      </c>
      <c r="E13" s="1">
        <v>1</v>
      </c>
      <c r="F13" s="2">
        <f>E13*D13</f>
        <v>40</v>
      </c>
    </row>
    <row r="14" spans="2:7" ht="23.25" x14ac:dyDescent="0.35">
      <c r="B14" s="1"/>
      <c r="C14" s="1"/>
      <c r="D14" s="2"/>
      <c r="E14" s="1" t="s">
        <v>26</v>
      </c>
      <c r="F14" s="2">
        <f>SUM(F8:F13)</f>
        <v>202.66000000000003</v>
      </c>
    </row>
    <row r="16" spans="2:7" ht="18.75" x14ac:dyDescent="0.3">
      <c r="B16" s="3" t="s">
        <v>27</v>
      </c>
    </row>
    <row r="17" spans="2:7" ht="23.25" x14ac:dyDescent="0.35">
      <c r="B17" s="6" t="s">
        <v>28</v>
      </c>
      <c r="C17" s="6" t="s">
        <v>19</v>
      </c>
      <c r="D17" s="6" t="s">
        <v>20</v>
      </c>
      <c r="E17" s="6" t="s">
        <v>21</v>
      </c>
      <c r="F17" s="6" t="s">
        <v>22</v>
      </c>
    </row>
    <row r="18" spans="2:7" ht="23.25" x14ac:dyDescent="0.35">
      <c r="B18" s="1" t="s">
        <v>30</v>
      </c>
      <c r="C18" s="1" t="s">
        <v>120</v>
      </c>
      <c r="D18" s="2">
        <v>4.0999999999999996</v>
      </c>
      <c r="E18" s="1">
        <v>2</v>
      </c>
      <c r="F18" s="16">
        <f>E18*D18</f>
        <v>8.1999999999999993</v>
      </c>
    </row>
    <row r="19" spans="2:7" ht="23.25" x14ac:dyDescent="0.35">
      <c r="B19" s="1" t="s">
        <v>121</v>
      </c>
      <c r="C19" s="1" t="s">
        <v>120</v>
      </c>
      <c r="D19" s="2">
        <v>3.8</v>
      </c>
      <c r="E19" s="1">
        <v>2</v>
      </c>
      <c r="F19" s="16">
        <f>E19*D19</f>
        <v>7.6</v>
      </c>
    </row>
    <row r="20" spans="2:7" ht="23.25" x14ac:dyDescent="0.35">
      <c r="B20" s="1"/>
      <c r="C20" s="1"/>
      <c r="D20" s="2"/>
      <c r="E20" s="1" t="s">
        <v>26</v>
      </c>
      <c r="F20" s="16">
        <f>SUM(F18:F19)</f>
        <v>15.799999999999999</v>
      </c>
    </row>
    <row r="22" spans="2:7" ht="40.5" customHeight="1" x14ac:dyDescent="0.35">
      <c r="B22" s="3" t="s">
        <v>31</v>
      </c>
      <c r="C22" s="42" t="s">
        <v>122</v>
      </c>
      <c r="D22" s="41">
        <v>1200</v>
      </c>
      <c r="E22" s="8" t="s">
        <v>123</v>
      </c>
      <c r="G22" t="s">
        <v>124</v>
      </c>
    </row>
    <row r="23" spans="2:7" ht="46.5" x14ac:dyDescent="0.35">
      <c r="B23" s="7" t="s">
        <v>33</v>
      </c>
      <c r="C23" s="7" t="s">
        <v>19</v>
      </c>
      <c r="D23" s="7" t="s">
        <v>20</v>
      </c>
      <c r="E23" s="51" t="s">
        <v>125</v>
      </c>
      <c r="F23" s="7" t="s">
        <v>126</v>
      </c>
    </row>
    <row r="24" spans="2:7" ht="27" customHeight="1" x14ac:dyDescent="0.35">
      <c r="B24" s="1" t="s">
        <v>127</v>
      </c>
      <c r="C24" s="1" t="s">
        <v>128</v>
      </c>
      <c r="D24" s="2">
        <f>D22/22/8</f>
        <v>6.8181818181818183</v>
      </c>
      <c r="E24" s="1">
        <v>6</v>
      </c>
      <c r="F24" s="16">
        <f>E24*D24</f>
        <v>40.909090909090907</v>
      </c>
    </row>
    <row r="25" spans="2:7" ht="23.25" x14ac:dyDescent="0.35">
      <c r="B25" s="1" t="s">
        <v>129</v>
      </c>
      <c r="C25" s="1" t="s">
        <v>128</v>
      </c>
      <c r="D25" s="2">
        <f>D22/22/8</f>
        <v>6.8181818181818183</v>
      </c>
      <c r="E25" s="1">
        <v>2</v>
      </c>
      <c r="F25" s="16">
        <f>E25*D25</f>
        <v>13.636363636363637</v>
      </c>
      <c r="G25" s="40" t="s">
        <v>130</v>
      </c>
    </row>
    <row r="26" spans="2:7" ht="23.25" x14ac:dyDescent="0.35">
      <c r="B26" s="1"/>
      <c r="C26" s="1"/>
      <c r="D26" s="2"/>
      <c r="E26" s="1"/>
      <c r="F26" s="18">
        <f>SUM(F24:F25)</f>
        <v>54.545454545454547</v>
      </c>
      <c r="G26" s="17" t="s">
        <v>131</v>
      </c>
    </row>
    <row r="28" spans="2:7" ht="23.25" x14ac:dyDescent="0.35">
      <c r="B28" s="3" t="s">
        <v>37</v>
      </c>
      <c r="C28" s="8"/>
    </row>
    <row r="29" spans="2:7" ht="23.25" x14ac:dyDescent="0.35">
      <c r="B29" s="9" t="s">
        <v>38</v>
      </c>
      <c r="C29" s="9"/>
      <c r="D29" s="9"/>
      <c r="E29" s="9"/>
      <c r="F29" s="9"/>
    </row>
    <row r="30" spans="2:7" ht="46.5" x14ac:dyDescent="0.35">
      <c r="B30" s="21" t="s">
        <v>132</v>
      </c>
      <c r="C30" s="2">
        <v>800</v>
      </c>
      <c r="D30" s="2"/>
      <c r="E30" s="1"/>
      <c r="F30" s="1"/>
      <c r="G30" s="40" t="s">
        <v>133</v>
      </c>
    </row>
    <row r="31" spans="2:7" ht="23.25" x14ac:dyDescent="0.35">
      <c r="B31" s="1" t="s">
        <v>44</v>
      </c>
      <c r="C31" s="1">
        <v>2</v>
      </c>
      <c r="D31" s="2"/>
      <c r="E31" s="1"/>
      <c r="F31" s="1"/>
    </row>
    <row r="32" spans="2:7" ht="23.25" x14ac:dyDescent="0.35">
      <c r="B32" s="1" t="s">
        <v>45</v>
      </c>
      <c r="C32" s="2">
        <f>C30/C31</f>
        <v>400</v>
      </c>
      <c r="D32" s="2"/>
      <c r="E32" s="1"/>
      <c r="F32" s="1"/>
    </row>
    <row r="33" spans="2:6" ht="23.25" x14ac:dyDescent="0.35">
      <c r="B33" s="1" t="s">
        <v>46</v>
      </c>
      <c r="C33" s="16">
        <f>C32/12</f>
        <v>33.333333333333336</v>
      </c>
      <c r="D33" s="2"/>
      <c r="E33" s="1"/>
      <c r="F33" s="1"/>
    </row>
    <row r="34" spans="2:6" ht="23.25" hidden="1" x14ac:dyDescent="0.35">
      <c r="B34" s="1" t="s">
        <v>134</v>
      </c>
      <c r="C34" s="19">
        <f>C33/4.4</f>
        <v>7.5757575757575752</v>
      </c>
      <c r="D34" s="2"/>
      <c r="E34" s="1"/>
      <c r="F34" s="1"/>
    </row>
    <row r="35" spans="2:6" ht="23.25" x14ac:dyDescent="0.35">
      <c r="B35" s="1" t="s">
        <v>135</v>
      </c>
      <c r="C35" s="19">
        <f>C33/22</f>
        <v>1.5151515151515154</v>
      </c>
      <c r="D35" s="2"/>
      <c r="E35" s="1"/>
      <c r="F35" s="1"/>
    </row>
    <row r="38" spans="2:6" ht="23.25" x14ac:dyDescent="0.35">
      <c r="B38" s="32" t="s">
        <v>48</v>
      </c>
      <c r="C38" s="33">
        <f>F14+F20+F26+C35</f>
        <v>274.5206060606061</v>
      </c>
    </row>
    <row r="39" spans="2:6" ht="23.25" x14ac:dyDescent="0.35">
      <c r="B39" s="32" t="s">
        <v>49</v>
      </c>
      <c r="C39" s="33">
        <f>C38/C3</f>
        <v>2.7452060606060611</v>
      </c>
    </row>
  </sheetData>
  <pageMargins left="0.511811024" right="0.511811024" top="0.78740157499999996" bottom="0.78740157499999996" header="0.31496062000000002" footer="0.31496062000000002"/>
  <pageSetup paperSize="9" scale="94" fitToHeight="0" orientation="landscape" r:id="rId1"/>
  <rowBreaks count="1" manualBreakCount="1">
    <brk id="20" min="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opLeftCell="A4" zoomScale="70" zoomScaleNormal="70" workbookViewId="0">
      <selection activeCell="E1" sqref="E1"/>
    </sheetView>
  </sheetViews>
  <sheetFormatPr defaultRowHeight="15" x14ac:dyDescent="0.25"/>
  <cols>
    <col min="2" max="2" width="36.7109375" customWidth="1"/>
    <col min="3" max="3" width="40.5703125" customWidth="1"/>
    <col min="4" max="4" width="32.5703125" customWidth="1"/>
    <col min="5" max="5" width="32" customWidth="1"/>
    <col min="6" max="6" width="53" customWidth="1"/>
  </cols>
  <sheetData>
    <row r="2" spans="2:6" ht="23.25" x14ac:dyDescent="0.35">
      <c r="B2" s="5" t="s">
        <v>50</v>
      </c>
      <c r="D2" s="20"/>
    </row>
    <row r="3" spans="2:6" x14ac:dyDescent="0.25">
      <c r="F3" t="s">
        <v>51</v>
      </c>
    </row>
    <row r="4" spans="2:6" ht="28.5" x14ac:dyDescent="0.45">
      <c r="B4" s="10" t="s">
        <v>52</v>
      </c>
      <c r="C4" s="11" t="s">
        <v>53</v>
      </c>
      <c r="D4" s="11" t="s">
        <v>54</v>
      </c>
      <c r="E4" s="11" t="s">
        <v>55</v>
      </c>
      <c r="F4" s="47" t="s">
        <v>56</v>
      </c>
    </row>
    <row r="5" spans="2:6" ht="28.5" x14ac:dyDescent="0.45">
      <c r="B5" s="43" t="s">
        <v>57</v>
      </c>
      <c r="C5" s="44">
        <f>D5/$D$9</f>
        <v>0.7382323786479571</v>
      </c>
      <c r="D5" s="45">
        <f>'Ex. Custos e despesas'!F14</f>
        <v>202.66000000000003</v>
      </c>
      <c r="E5" s="43"/>
    </row>
    <row r="6" spans="2:6" ht="28.5" x14ac:dyDescent="0.45">
      <c r="B6" s="43" t="s">
        <v>27</v>
      </c>
      <c r="C6" s="44">
        <f>D6/$D$9</f>
        <v>5.7554878035318856E-2</v>
      </c>
      <c r="D6" s="45">
        <f>'Ex. Custos e despesas'!F20</f>
        <v>15.799999999999999</v>
      </c>
      <c r="E6" s="43"/>
    </row>
    <row r="7" spans="2:6" ht="28.5" x14ac:dyDescent="0.45">
      <c r="B7" s="43" t="s">
        <v>31</v>
      </c>
      <c r="C7" s="44">
        <f>D7/$D$9</f>
        <v>0.19869347998383957</v>
      </c>
      <c r="D7" s="45">
        <f>'Ex. Custos e despesas'!F26</f>
        <v>54.545454545454547</v>
      </c>
      <c r="E7" s="43"/>
    </row>
    <row r="8" spans="2:6" ht="28.5" x14ac:dyDescent="0.45">
      <c r="B8" s="43" t="s">
        <v>37</v>
      </c>
      <c r="C8" s="44">
        <f>D8/$D$9</f>
        <v>5.5192633328844335E-3</v>
      </c>
      <c r="D8" s="45">
        <f>'Ex. Custos e despesas'!C35</f>
        <v>1.5151515151515154</v>
      </c>
      <c r="E8" s="43"/>
    </row>
    <row r="9" spans="2:6" ht="28.5" x14ac:dyDescent="0.45">
      <c r="B9" s="43"/>
      <c r="C9" s="43"/>
      <c r="D9" s="45">
        <f>SUM(D5:D8)</f>
        <v>274.5206060606061</v>
      </c>
      <c r="E9" s="46">
        <f>D9/100</f>
        <v>2.7452060606060611</v>
      </c>
    </row>
    <row r="11" spans="2:6" ht="28.5" x14ac:dyDescent="0.45">
      <c r="B11" s="10" t="s">
        <v>58</v>
      </c>
      <c r="C11" s="11" t="s">
        <v>53</v>
      </c>
      <c r="D11" s="11" t="s">
        <v>55</v>
      </c>
      <c r="E11" s="11" t="s">
        <v>59</v>
      </c>
    </row>
    <row r="12" spans="2:6" ht="28.5" x14ac:dyDescent="0.45">
      <c r="B12" s="11" t="s">
        <v>52</v>
      </c>
      <c r="C12" s="24">
        <f>D12/$D$17</f>
        <v>0.74452649526944537</v>
      </c>
      <c r="D12" s="12">
        <f>E9</f>
        <v>2.7452060606060611</v>
      </c>
      <c r="E12" s="11"/>
      <c r="F12" t="s">
        <v>60</v>
      </c>
    </row>
    <row r="13" spans="2:6" ht="28.5" x14ac:dyDescent="0.45">
      <c r="B13" s="11" t="s">
        <v>61</v>
      </c>
      <c r="C13" s="24">
        <f>D13/$D$17</f>
        <v>0.15</v>
      </c>
      <c r="D13" s="12">
        <f>D17*15%</f>
        <v>0.55307757575757588</v>
      </c>
      <c r="E13" s="11"/>
      <c r="F13" t="s">
        <v>62</v>
      </c>
    </row>
    <row r="14" spans="2:6" ht="28.5" x14ac:dyDescent="0.45">
      <c r="B14" s="48" t="s">
        <v>63</v>
      </c>
      <c r="C14" s="48"/>
      <c r="D14" s="49"/>
      <c r="E14" s="48"/>
    </row>
    <row r="15" spans="2:6" ht="67.5" customHeight="1" x14ac:dyDescent="0.45">
      <c r="B15" s="48" t="s">
        <v>64</v>
      </c>
      <c r="C15" s="48" t="s">
        <v>65</v>
      </c>
      <c r="D15" s="49">
        <f>(E15/22*'Ex. Custos e despesas'!F3)/'Ex. Custos e despesas'!C3</f>
        <v>2.0181818181818179E-2</v>
      </c>
      <c r="E15" s="49">
        <v>44.4</v>
      </c>
      <c r="F15" s="30" t="s">
        <v>136</v>
      </c>
    </row>
    <row r="16" spans="2:6" ht="57" x14ac:dyDescent="0.45">
      <c r="B16" s="50" t="s">
        <v>137</v>
      </c>
      <c r="C16" s="25" t="s">
        <v>68</v>
      </c>
      <c r="D16" s="12">
        <f>D17*10%</f>
        <v>0.36871838383838396</v>
      </c>
      <c r="E16" s="12"/>
      <c r="F16" t="s">
        <v>69</v>
      </c>
    </row>
    <row r="17" spans="2:6" ht="28.5" x14ac:dyDescent="0.45">
      <c r="B17" s="34" t="s">
        <v>70</v>
      </c>
      <c r="C17" s="35"/>
      <c r="D17" s="36">
        <f>SUM(D12,D15)/(1-10%-15%)</f>
        <v>3.6871838383838393</v>
      </c>
      <c r="E17" s="12"/>
      <c r="F17" t="s">
        <v>71</v>
      </c>
    </row>
    <row r="18" spans="2:6" x14ac:dyDescent="0.25">
      <c r="F18" s="31"/>
    </row>
  </sheetData>
  <pageMargins left="0.511811024" right="0.511811024" top="0.78740157499999996" bottom="0.78740157499999996" header="0.31496062000000002" footer="0.3149606200000000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F1" zoomScale="70" zoomScaleNormal="70" workbookViewId="0">
      <selection activeCell="A5" sqref="A5:XFD5"/>
    </sheetView>
  </sheetViews>
  <sheetFormatPr defaultRowHeight="15" x14ac:dyDescent="0.25"/>
  <cols>
    <col min="2" max="2" width="50.28515625" customWidth="1"/>
    <col min="3" max="3" width="39" customWidth="1"/>
    <col min="4" max="4" width="26" customWidth="1"/>
    <col min="5" max="5" width="32" customWidth="1"/>
    <col min="6" max="6" width="40" customWidth="1"/>
  </cols>
  <sheetData>
    <row r="2" spans="2:6" ht="23.25" x14ac:dyDescent="0.35">
      <c r="B2" s="5" t="s">
        <v>72</v>
      </c>
    </row>
    <row r="4" spans="2:6" ht="28.5" x14ac:dyDescent="0.45">
      <c r="B4" s="10" t="s">
        <v>58</v>
      </c>
      <c r="C4" s="11" t="s">
        <v>53</v>
      </c>
      <c r="D4" s="11" t="s">
        <v>55</v>
      </c>
      <c r="E4" s="11" t="s">
        <v>59</v>
      </c>
      <c r="F4" s="37" t="s">
        <v>51</v>
      </c>
    </row>
    <row r="5" spans="2:6" ht="28.5" x14ac:dyDescent="0.45">
      <c r="B5" s="10" t="s">
        <v>81</v>
      </c>
      <c r="C5" s="11"/>
      <c r="D5" s="11">
        <v>8</v>
      </c>
      <c r="E5" s="11"/>
      <c r="F5" t="s">
        <v>138</v>
      </c>
    </row>
    <row r="6" spans="2:6" ht="28.5" x14ac:dyDescent="0.45">
      <c r="B6" s="11" t="s">
        <v>52</v>
      </c>
      <c r="C6" s="14">
        <f>1-SUM(C7:C9)</f>
        <v>0.75</v>
      </c>
      <c r="D6" s="11">
        <f>C6*$D$5</f>
        <v>6</v>
      </c>
      <c r="E6" s="11"/>
    </row>
    <row r="7" spans="2:6" ht="28.5" x14ac:dyDescent="0.45">
      <c r="B7" s="11" t="s">
        <v>83</v>
      </c>
      <c r="C7" s="13">
        <v>0.15</v>
      </c>
      <c r="D7" s="11">
        <f t="shared" ref="D7:D9" si="0">C7*$D$5</f>
        <v>1.2</v>
      </c>
      <c r="E7" s="11"/>
    </row>
    <row r="8" spans="2:6" ht="63" x14ac:dyDescent="0.45">
      <c r="B8" s="11" t="s">
        <v>63</v>
      </c>
      <c r="C8" s="13">
        <v>0</v>
      </c>
      <c r="D8" s="23">
        <f>E8/22*3/100</f>
        <v>6.0545454545454548E-2</v>
      </c>
      <c r="E8" s="12">
        <v>44.4</v>
      </c>
      <c r="F8" s="30" t="s">
        <v>66</v>
      </c>
    </row>
    <row r="9" spans="2:6" ht="28.5" x14ac:dyDescent="0.45">
      <c r="B9" s="11" t="s">
        <v>67</v>
      </c>
      <c r="C9" s="13">
        <v>0.1</v>
      </c>
      <c r="D9" s="11">
        <f t="shared" si="0"/>
        <v>0.8</v>
      </c>
      <c r="E9" s="12"/>
    </row>
    <row r="10" spans="2:6" ht="28.5" x14ac:dyDescent="0.45">
      <c r="B10" s="11"/>
      <c r="C10" s="13">
        <f>SUM(C6:C9)</f>
        <v>1</v>
      </c>
      <c r="D10" s="11"/>
      <c r="E10" s="12"/>
    </row>
    <row r="12" spans="2:6" ht="28.5" x14ac:dyDescent="0.45">
      <c r="B12" s="10" t="s">
        <v>52</v>
      </c>
      <c r="C12" s="11"/>
      <c r="D12" s="11" t="s">
        <v>55</v>
      </c>
      <c r="E12" s="11" t="s">
        <v>54</v>
      </c>
      <c r="F12" s="30" t="s">
        <v>84</v>
      </c>
    </row>
    <row r="13" spans="2:6" ht="28.5" x14ac:dyDescent="0.45">
      <c r="B13" s="11" t="s">
        <v>57</v>
      </c>
      <c r="C13" s="13">
        <v>0.63</v>
      </c>
      <c r="D13" s="12">
        <f>C13*$D$6</f>
        <v>3.7800000000000002</v>
      </c>
      <c r="E13" s="23">
        <f>D13*100</f>
        <v>378</v>
      </c>
    </row>
    <row r="14" spans="2:6" ht="28.5" x14ac:dyDescent="0.45">
      <c r="B14" s="11" t="s">
        <v>27</v>
      </c>
      <c r="C14" s="13">
        <v>0.03</v>
      </c>
      <c r="D14" s="12">
        <f>C14*$D$6</f>
        <v>0.18</v>
      </c>
      <c r="E14" s="23">
        <f>D14*100</f>
        <v>18</v>
      </c>
    </row>
    <row r="15" spans="2:6" ht="28.5" x14ac:dyDescent="0.45">
      <c r="B15" s="11" t="s">
        <v>31</v>
      </c>
      <c r="C15" s="13">
        <v>0.32</v>
      </c>
      <c r="D15" s="12">
        <f>C15*$D$6</f>
        <v>1.92</v>
      </c>
      <c r="E15" s="23">
        <f>D15*100</f>
        <v>192</v>
      </c>
    </row>
    <row r="16" spans="2:6" ht="28.5" x14ac:dyDescent="0.45">
      <c r="B16" s="11" t="s">
        <v>37</v>
      </c>
      <c r="C16" s="13">
        <v>0.02</v>
      </c>
      <c r="D16" s="12">
        <f>C16*$D$6</f>
        <v>0.12</v>
      </c>
      <c r="E16" s="23">
        <f>D16*100</f>
        <v>12</v>
      </c>
    </row>
    <row r="17" spans="2:5" ht="28.5" x14ac:dyDescent="0.45">
      <c r="B17" s="11"/>
      <c r="C17" s="11"/>
      <c r="D17" s="11"/>
      <c r="E17" s="11"/>
    </row>
  </sheetData>
  <pageMargins left="0.511811024" right="0.511811024" top="0.78740157499999996" bottom="0.78740157499999996" header="0.31496062000000002" footer="0.31496062000000002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6</vt:i4>
      </vt:variant>
    </vt:vector>
  </HeadingPairs>
  <TitlesOfParts>
    <vt:vector size="16" baseType="lpstr">
      <vt:lpstr>Viab. Ambiental</vt:lpstr>
      <vt:lpstr>Viab. Social</vt:lpstr>
      <vt:lpstr>Custos e despesas</vt:lpstr>
      <vt:lpstr>Formação de Preços 1</vt:lpstr>
      <vt:lpstr>Formação de Preços 2</vt:lpstr>
      <vt:lpstr>Investimento e Atividades</vt:lpstr>
      <vt:lpstr>Ex. Custos e despesas</vt:lpstr>
      <vt:lpstr>Ex. Form. Preços 1</vt:lpstr>
      <vt:lpstr>Ex. Form. Preços 2</vt:lpstr>
      <vt:lpstr>Plan1</vt:lpstr>
      <vt:lpstr>'Custos e despesas'!Area_de_impressao</vt:lpstr>
      <vt:lpstr>'Ex. Custos e despesas'!Area_de_impressao</vt:lpstr>
      <vt:lpstr>'Ex. Form. Preços 1'!Area_de_impressao</vt:lpstr>
      <vt:lpstr>'Ex. Form. Preços 2'!Area_de_impressao</vt:lpstr>
      <vt:lpstr>'Formação de Preços 1'!Area_de_impressao</vt:lpstr>
      <vt:lpstr>'Formação de Preços 2'!Area_de_impressao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Luana Henriques Costa</cp:lastModifiedBy>
  <cp:revision/>
  <dcterms:created xsi:type="dcterms:W3CDTF">2015-12-07T17:09:46Z</dcterms:created>
  <dcterms:modified xsi:type="dcterms:W3CDTF">2016-06-24T18:43:41Z</dcterms:modified>
</cp:coreProperties>
</file>